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if365.sharepoint.com/sites/jefaturacomercialnoroeste/Biblioteca documental/EXPEDIENTES/01_LICITACIONES/2024-265-00061 Artículos regalo y complementos moda Santiago/01_APROBACIÓN LICITACIÓN/"/>
    </mc:Choice>
  </mc:AlternateContent>
  <xr:revisionPtr revIDLastSave="0" documentId="8_{A934975A-1FEC-497A-8C29-5A5C6DA0BB58}" xr6:coauthVersionLast="47" xr6:coauthVersionMax="47" xr10:uidLastSave="{00000000-0000-0000-0000-000000000000}"/>
  <bookViews>
    <workbookView xWindow="28680" yWindow="-120" windowWidth="29040" windowHeight="17640" xr2:uid="{9025E018-39D5-479C-907C-1F4A9AD1399E}"/>
  </bookViews>
  <sheets>
    <sheet name="ANEJ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2" i="1"/>
  <c r="D38" i="1" l="1"/>
  <c r="E37" i="1"/>
  <c r="F37" i="1"/>
  <c r="D24" i="1"/>
  <c r="F22" i="1"/>
  <c r="H22" i="1" l="1"/>
  <c r="J22" i="1" s="1"/>
  <c r="L22" i="1" s="1"/>
  <c r="N22" i="1" s="1"/>
  <c r="P22" i="1" s="1"/>
  <c r="R22" i="1" s="1"/>
  <c r="B22" i="1"/>
  <c r="H37" i="1"/>
  <c r="J37" i="1" s="1"/>
  <c r="L37" i="1" s="1"/>
  <c r="N37" i="1" s="1"/>
  <c r="P37" i="1" s="1"/>
  <c r="R37" i="1" s="1"/>
  <c r="S44" i="1"/>
  <c r="Q44" i="1"/>
  <c r="O44" i="1"/>
  <c r="M44" i="1"/>
  <c r="K44" i="1"/>
  <c r="I44" i="1"/>
  <c r="G44" i="1"/>
  <c r="D39" i="1"/>
  <c r="B42" i="1"/>
  <c r="E29" i="1"/>
  <c r="B29" i="1"/>
  <c r="E35" i="1"/>
  <c r="D34" i="1"/>
  <c r="E34" i="1" s="1"/>
  <c r="E25" i="1"/>
  <c r="E33" i="1"/>
  <c r="E32" i="1"/>
  <c r="E31" i="1"/>
  <c r="E30" i="1"/>
  <c r="E28" i="1"/>
  <c r="E27" i="1"/>
  <c r="E26" i="1"/>
  <c r="E23" i="1"/>
  <c r="B37" i="1" l="1"/>
  <c r="B38" i="1"/>
  <c r="C38" i="1" s="1"/>
  <c r="B35" i="1"/>
  <c r="B33" i="1"/>
  <c r="B32" i="1"/>
  <c r="B31" i="1"/>
  <c r="B30" i="1"/>
  <c r="B28" i="1"/>
  <c r="B27" i="1"/>
  <c r="B26" i="1"/>
  <c r="B25" i="1"/>
  <c r="F39" i="1"/>
  <c r="F24" i="1" l="1"/>
  <c r="G24" i="1" s="1"/>
  <c r="D40" i="1"/>
  <c r="G42" i="1"/>
  <c r="F38" i="1"/>
  <c r="F40" i="1" s="1"/>
  <c r="G29" i="1"/>
  <c r="G25" i="1"/>
  <c r="F34" i="1"/>
  <c r="G34" i="1" s="1"/>
  <c r="G33" i="1"/>
  <c r="G26" i="1"/>
  <c r="G35" i="1"/>
  <c r="G32" i="1"/>
  <c r="G23" i="1"/>
  <c r="G31" i="1"/>
  <c r="G30" i="1"/>
  <c r="G28" i="1"/>
  <c r="G27" i="1"/>
  <c r="G37" i="1"/>
  <c r="G22" i="1"/>
  <c r="E40" i="1" l="1"/>
  <c r="H24" i="1"/>
  <c r="I24" i="1" s="1"/>
  <c r="G40" i="1"/>
  <c r="J38" i="1"/>
  <c r="K29" i="1"/>
  <c r="K42" i="1"/>
  <c r="J39" i="1"/>
  <c r="I42" i="1"/>
  <c r="H38" i="1"/>
  <c r="I29" i="1"/>
  <c r="H39" i="1"/>
  <c r="K35" i="1"/>
  <c r="K30" i="1"/>
  <c r="K23" i="1"/>
  <c r="K28" i="1"/>
  <c r="K27" i="1"/>
  <c r="K32" i="1"/>
  <c r="K26" i="1"/>
  <c r="J34" i="1"/>
  <c r="K34" i="1" s="1"/>
  <c r="K25" i="1"/>
  <c r="K31" i="1"/>
  <c r="K33" i="1"/>
  <c r="F36" i="1"/>
  <c r="F41" i="1" s="1"/>
  <c r="F43" i="1" s="1"/>
  <c r="G43" i="1" s="1"/>
  <c r="I22" i="1"/>
  <c r="I32" i="1"/>
  <c r="I23" i="1"/>
  <c r="I35" i="1"/>
  <c r="I31" i="1"/>
  <c r="I30" i="1"/>
  <c r="I28" i="1"/>
  <c r="I33" i="1"/>
  <c r="I27" i="1"/>
  <c r="I25" i="1"/>
  <c r="H34" i="1"/>
  <c r="I34" i="1" s="1"/>
  <c r="I26" i="1"/>
  <c r="K22" i="1"/>
  <c r="J24" i="1"/>
  <c r="G41" i="1" l="1"/>
  <c r="M29" i="1"/>
  <c r="M42" i="1"/>
  <c r="L38" i="1"/>
  <c r="L39" i="1"/>
  <c r="G36" i="1"/>
  <c r="H36" i="1"/>
  <c r="J36" i="1"/>
  <c r="K24" i="1"/>
  <c r="M27" i="1"/>
  <c r="M26" i="1"/>
  <c r="M25" i="1"/>
  <c r="M35" i="1"/>
  <c r="L34" i="1"/>
  <c r="M34" i="1" s="1"/>
  <c r="M33" i="1"/>
  <c r="M30" i="1"/>
  <c r="M32" i="1"/>
  <c r="M23" i="1"/>
  <c r="M31" i="1"/>
  <c r="M28" i="1"/>
  <c r="M22" i="1"/>
  <c r="L24" i="1"/>
  <c r="O42" i="1" l="1"/>
  <c r="N38" i="1"/>
  <c r="O29" i="1"/>
  <c r="N39" i="1"/>
  <c r="K36" i="1"/>
  <c r="I36" i="1"/>
  <c r="M24" i="1"/>
  <c r="L36" i="1"/>
  <c r="O25" i="1"/>
  <c r="O26" i="1"/>
  <c r="O33" i="1"/>
  <c r="O27" i="1"/>
  <c r="N34" i="1"/>
  <c r="O34" i="1" s="1"/>
  <c r="O32" i="1"/>
  <c r="O23" i="1"/>
  <c r="O31" i="1"/>
  <c r="O30" i="1"/>
  <c r="O35" i="1"/>
  <c r="O28" i="1"/>
  <c r="O22" i="1"/>
  <c r="N24" i="1"/>
  <c r="P38" i="1" l="1"/>
  <c r="Q42" i="1"/>
  <c r="Q29" i="1"/>
  <c r="P39" i="1"/>
  <c r="M36" i="1"/>
  <c r="O24" i="1"/>
  <c r="N36" i="1"/>
  <c r="P34" i="1"/>
  <c r="Q34" i="1" s="1"/>
  <c r="Q32" i="1"/>
  <c r="Q23" i="1"/>
  <c r="Q31" i="1"/>
  <c r="Q30" i="1"/>
  <c r="Q33" i="1"/>
  <c r="Q28" i="1"/>
  <c r="Q27" i="1"/>
  <c r="Q25" i="1"/>
  <c r="Q35" i="1"/>
  <c r="Q26" i="1"/>
  <c r="P24" i="1"/>
  <c r="Q22" i="1"/>
  <c r="S29" i="1" l="1"/>
  <c r="S42" i="1"/>
  <c r="R38" i="1"/>
  <c r="R39" i="1"/>
  <c r="B39" i="1" s="1"/>
  <c r="O36" i="1"/>
  <c r="P36" i="1"/>
  <c r="Q24" i="1"/>
  <c r="S30" i="1"/>
  <c r="S23" i="1"/>
  <c r="S28" i="1"/>
  <c r="S27" i="1"/>
  <c r="S26" i="1"/>
  <c r="R34" i="1"/>
  <c r="S34" i="1" s="1"/>
  <c r="S35" i="1"/>
  <c r="S25" i="1"/>
  <c r="S33" i="1"/>
  <c r="S32" i="1"/>
  <c r="S31" i="1"/>
  <c r="S22" i="1"/>
  <c r="R24" i="1"/>
  <c r="Q36" i="1" l="1"/>
  <c r="R36" i="1"/>
  <c r="S24" i="1"/>
  <c r="S36" i="1" l="1"/>
  <c r="C39" i="1" l="1"/>
  <c r="C42" i="1"/>
  <c r="C29" i="1"/>
  <c r="C35" i="1"/>
  <c r="C31" i="1"/>
  <c r="C32" i="1"/>
  <c r="C30" i="1"/>
  <c r="C33" i="1"/>
  <c r="C27" i="1"/>
  <c r="B34" i="1"/>
  <c r="C34" i="1" s="1"/>
  <c r="C25" i="1"/>
  <c r="C26" i="1"/>
  <c r="C28" i="1"/>
  <c r="H40" i="1" l="1"/>
  <c r="I40" i="1" l="1"/>
  <c r="H41" i="1"/>
  <c r="I37" i="1"/>
  <c r="J40" i="1"/>
  <c r="K40" i="1" l="1"/>
  <c r="J41" i="1"/>
  <c r="H43" i="1"/>
  <c r="I43" i="1" s="1"/>
  <c r="I41" i="1"/>
  <c r="K37" i="1"/>
  <c r="L40" i="1"/>
  <c r="M40" i="1" l="1"/>
  <c r="L41" i="1"/>
  <c r="K41" i="1"/>
  <c r="J43" i="1"/>
  <c r="K43" i="1" s="1"/>
  <c r="M37" i="1"/>
  <c r="N40" i="1"/>
  <c r="M41" i="1" l="1"/>
  <c r="L43" i="1"/>
  <c r="M43" i="1" s="1"/>
  <c r="O40" i="1"/>
  <c r="N41" i="1"/>
  <c r="O37" i="1"/>
  <c r="P40" i="1"/>
  <c r="Q40" i="1" l="1"/>
  <c r="P41" i="1"/>
  <c r="N43" i="1"/>
  <c r="O43" i="1" s="1"/>
  <c r="O41" i="1"/>
  <c r="Q37" i="1"/>
  <c r="R40" i="1"/>
  <c r="B40" i="1" s="1"/>
  <c r="R41" i="1" l="1"/>
  <c r="S40" i="1"/>
  <c r="P43" i="1"/>
  <c r="Q43" i="1" s="1"/>
  <c r="Q41" i="1"/>
  <c r="S37" i="1"/>
  <c r="R43" i="1" l="1"/>
  <c r="S43" i="1" s="1"/>
  <c r="S41" i="1"/>
  <c r="C40" i="1" l="1"/>
  <c r="C37" i="1"/>
  <c r="B23" i="1" l="1"/>
  <c r="C23" i="1" s="1"/>
  <c r="D36" i="1" l="1"/>
  <c r="D41" i="1" s="1"/>
  <c r="E24" i="1"/>
  <c r="B24" i="1"/>
  <c r="B36" i="1" s="1"/>
  <c r="B41" i="1" l="1"/>
  <c r="B43" i="1" s="1"/>
  <c r="C43" i="1" s="1"/>
  <c r="E41" i="1"/>
  <c r="D43" i="1"/>
  <c r="E43" i="1" s="1"/>
  <c r="E36" i="1"/>
  <c r="C24" i="1"/>
  <c r="C41" i="1" l="1"/>
  <c r="C22" i="1"/>
  <c r="E22" i="1"/>
  <c r="C36" i="1"/>
</calcChain>
</file>

<file path=xl/sharedStrings.xml><?xml version="1.0" encoding="utf-8"?>
<sst xmlns="http://schemas.openxmlformats.org/spreadsheetml/2006/main" count="49" uniqueCount="49">
  <si>
    <t>MODELO DE CUENTA DE EXPLOTACIÓN PREVISIONAL</t>
  </si>
  <si>
    <t>PLIEGO DE CONDICIONES PARTICULARES</t>
  </si>
  <si>
    <t>ESTACION</t>
  </si>
  <si>
    <r>
      <t>SUPERFICIE M</t>
    </r>
    <r>
      <rPr>
        <b/>
        <vertAlign val="superscript"/>
        <sz val="16"/>
        <rFont val="Adif Fago No Regular"/>
      </rPr>
      <t>2</t>
    </r>
  </si>
  <si>
    <t>ACTIVIDAD</t>
  </si>
  <si>
    <t>FIRMA Y SELLO EMPRESA OFERTANTE</t>
  </si>
  <si>
    <t>TOTAL CONTRATO</t>
  </si>
  <si>
    <t>AÑOS PREVISTOS DE VIGENCIA DEL CONTRATO</t>
  </si>
  <si>
    <t>TOTAL</t>
  </si>
  <si>
    <t>% s/ventas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</si>
  <si>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</si>
  <si>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</si>
  <si>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</si>
  <si>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</si>
  <si>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</si>
  <si>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</si>
  <si>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</si>
  <si>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</si>
  <si>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VENTAS (sin IVA)</t>
  </si>
  <si>
    <t>COSTES MATERIA PRIMA</t>
  </si>
  <si>
    <t>MARGEN BRUTO</t>
  </si>
  <si>
    <t>COSTES PERSONAL</t>
  </si>
  <si>
    <t>TASAS Y TRIBUTOS</t>
  </si>
  <si>
    <t>MNTO. Y SUMINISTROS</t>
  </si>
  <si>
    <t>GASTOS COMUNES</t>
  </si>
  <si>
    <t>PUBLICIDAD Y PROMOCIÓN</t>
  </si>
  <si>
    <t>ESTRUCTURA Y ADMON.</t>
  </si>
  <si>
    <t>GASTOS GENERALES</t>
  </si>
  <si>
    <t>OTROS COSTES (*)</t>
  </si>
  <si>
    <t>TOTAL GASTOS GENERALES</t>
  </si>
  <si>
    <t>AMORTIZACIONES</t>
  </si>
  <si>
    <t>MARGEN DE EXPLOTACIÓN ANTES DE RENTAS</t>
  </si>
  <si>
    <t>RENTA MINIMA GARANTIZADA EXIGIDA EN LICITACIÓN</t>
  </si>
  <si>
    <t>RENTA MINIMA GARANTIZADA</t>
  </si>
  <si>
    <r>
      <t xml:space="preserve">RENTA ANUAL RESULTANTE SEGÚN PORCENTAJE OFERTADO SOBRE VENTAS PREVISTAS FIJADAS POR ADIF-ALTA VELOCIDAD
</t>
    </r>
    <r>
      <rPr>
        <b/>
        <sz val="12"/>
        <color indexed="10"/>
        <rFont val="Adif Fago No Regular"/>
      </rPr>
      <t>(SOLO A EFECTOS DE VALORACIÓN DE LA OFERTA) (**)</t>
    </r>
  </si>
  <si>
    <r>
      <t>TOTAL RENTA (</t>
    </r>
    <r>
      <rPr>
        <b/>
        <sz val="16"/>
        <rFont val="Adif Fago No Regular"/>
      </rPr>
      <t>*</t>
    </r>
    <r>
      <rPr>
        <b/>
        <sz val="12"/>
        <rFont val="Adif Fago No Regular"/>
      </rPr>
      <t>)</t>
    </r>
  </si>
  <si>
    <t>MARGEN DE EXPLOTACION</t>
  </si>
  <si>
    <t>GASTOS EXTRAORDINARIOS  (*)</t>
  </si>
  <si>
    <t>Bº ANTES IMPTOS.</t>
  </si>
  <si>
    <t>(*) Descripción de Otros Costes y/o Gastos Extraordinarios:</t>
  </si>
  <si>
    <t>NOTA: A CUMPLIMENTAR ÚNICAMENTE LOS CAMPOS EN BLANCO</t>
  </si>
  <si>
    <t>EXPEDIENTE Nº   2024-265-00061</t>
  </si>
  <si>
    <t>Santiago de Compostela</t>
  </si>
  <si>
    <t>Nº LOCAL</t>
  </si>
  <si>
    <t>OBSERVACIONES DE ADIF - Alta Velocidad:</t>
  </si>
  <si>
    <t>(**) Figurar el porcentaje de renta variable según lo definido en el apartado 13 del CCP y Estipulación 6 del PCP
El porcentaje variable ofertado deberá cumplir todas las condiciones siguientes:
· Ser igual o superior al 10%. 
· Ser el mismo para todos los meses de cada año.
· Ser igual o mayor al del año anterior.
· No ser mayor en 2 puntos porcentuales respecto al porcentaje ofrecido en el año anterior. 
· Estar expresado con un solo decimal.</t>
  </si>
  <si>
    <t>COMISIONES T. BANCARIAS</t>
  </si>
  <si>
    <t>Artículos de regalo, accesorios y complementos</t>
  </si>
  <si>
    <r>
      <t>182,20 m</t>
    </r>
    <r>
      <rPr>
        <b/>
        <vertAlign val="superscript"/>
        <sz val="16"/>
        <rFont val="Adif Fago No Regula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</si>
</sst>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dif Fago No Regular"/>
    </font>
    <font>
      <b/>
      <sz val="22"/>
      <name val="Verdana"/>
      <family val="2"/>
    </font>
    <font>
      <b/>
      <sz val="18"/>
      <name val="Verdana"/>
      <family val="2"/>
    </font>
    <font>
      <b/>
      <sz val="18"/>
      <name val="Adif Fago No Regular"/>
    </font>
    <font>
      <sz val="10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sz val="14"/>
      <name val="Adif Fago No Regula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2"/>
      <name val="Adif Fago No Regular"/>
    </font>
    <font>
      <b/>
      <sz val="12"/>
      <name val="Adif Fago Co Regular"/>
    </font>
    <font>
      <sz val="12"/>
      <name val="Adif Fago Co Regular"/>
    </font>
    <font>
      <b/>
      <sz val="12"/>
      <color indexed="10"/>
      <name val="Adif Fago No Regular"/>
    </font>
    <font>
      <sz val="10"/>
      <name val="Adif Pc Futura LT Book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5" borderId="13" xfId="0" applyFont="1" applyFill="1" applyBorder="1" applyAlignment="1">
      <alignment horizontal="center" vertical="center" wrapText="1"/>
    </xf>
    <xf numFmtId="3" fontId="8" fillId="4" borderId="1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2" borderId="23" xfId="0" applyFont="1" applyFill="1" applyBorder="1" applyAlignment="1">
      <alignment horizontal="center" vertical="center"/>
    </xf>
    <xf numFmtId="9" fontId="12" fillId="2" borderId="1" xfId="2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164" fontId="12" fillId="5" borderId="1" xfId="1" applyNumberFormat="1" applyFont="1" applyFill="1" applyBorder="1" applyAlignment="1">
      <alignment vertical="center"/>
    </xf>
    <xf numFmtId="44" fontId="12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5" fontId="12" fillId="2" borderId="1" xfId="2" applyNumberFormat="1" applyFont="1" applyFill="1" applyBorder="1" applyAlignment="1">
      <alignment horizontal="center" vertical="center"/>
    </xf>
    <xf numFmtId="165" fontId="12" fillId="5" borderId="1" xfId="2" applyNumberFormat="1" applyFont="1" applyFill="1" applyBorder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11" fillId="0" borderId="28" xfId="0" applyFont="1" applyBorder="1" applyAlignment="1">
      <alignment vertical="center" wrapText="1"/>
    </xf>
    <xf numFmtId="164" fontId="12" fillId="2" borderId="2" xfId="1" applyNumberFormat="1" applyFont="1" applyFill="1" applyBorder="1" applyAlignment="1">
      <alignment vertical="center"/>
    </xf>
    <xf numFmtId="165" fontId="12" fillId="2" borderId="2" xfId="2" applyNumberFormat="1" applyFont="1" applyFill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165" fontId="15" fillId="0" borderId="1" xfId="0" applyNumberFormat="1" applyFont="1" applyBorder="1" applyAlignment="1" applyProtection="1">
      <alignment horizontal="center" vertical="center" wrapText="1"/>
      <protection locked="0"/>
    </xf>
    <xf numFmtId="3" fontId="15" fillId="2" borderId="15" xfId="0" applyNumberFormat="1" applyFont="1" applyFill="1" applyBorder="1" applyAlignment="1">
      <alignment horizontal="center" vertical="center" wrapText="1"/>
    </xf>
    <xf numFmtId="165" fontId="15" fillId="2" borderId="29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vertical="center"/>
    </xf>
    <xf numFmtId="4" fontId="14" fillId="2" borderId="30" xfId="0" applyNumberFormat="1" applyFont="1" applyFill="1" applyBorder="1" applyAlignment="1">
      <alignment horizontal="center" vertical="center"/>
    </xf>
    <xf numFmtId="165" fontId="14" fillId="2" borderId="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44" fontId="12" fillId="2" borderId="1" xfId="1" applyFont="1" applyFill="1" applyBorder="1" applyAlignment="1">
      <alignment horizontal="center" vertical="center"/>
    </xf>
    <xf numFmtId="164" fontId="12" fillId="5" borderId="1" xfId="1" applyNumberFormat="1" applyFont="1" applyFill="1" applyBorder="1" applyAlignment="1">
      <alignment horizontal="center" vertical="center"/>
    </xf>
    <xf numFmtId="44" fontId="12" fillId="2" borderId="2" xfId="1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vertical="center"/>
    </xf>
    <xf numFmtId="164" fontId="12" fillId="5" borderId="32" xfId="1" applyNumberFormat="1" applyFont="1" applyFill="1" applyBorder="1" applyAlignment="1">
      <alignment horizontal="center" vertical="center"/>
    </xf>
    <xf numFmtId="165" fontId="12" fillId="5" borderId="32" xfId="2" applyNumberFormat="1" applyFont="1" applyFill="1" applyBorder="1" applyAlignment="1">
      <alignment horizontal="center" vertical="center"/>
    </xf>
    <xf numFmtId="164" fontId="12" fillId="5" borderId="32" xfId="1" applyNumberFormat="1" applyFont="1" applyFill="1" applyBorder="1" applyAlignment="1">
      <alignment vertical="center"/>
    </xf>
    <xf numFmtId="164" fontId="12" fillId="0" borderId="1" xfId="1" applyNumberFormat="1" applyFont="1" applyFill="1" applyBorder="1" applyAlignment="1" applyProtection="1">
      <alignment vertical="center"/>
      <protection locked="0"/>
    </xf>
    <xf numFmtId="0" fontId="8" fillId="4" borderId="14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horizontal="left" vertical="center" wrapText="1"/>
    </xf>
    <xf numFmtId="0" fontId="8" fillId="4" borderId="16" xfId="0" applyFont="1" applyFill="1" applyBorder="1" applyAlignment="1">
      <alignment horizontal="left" vertical="center" wrapText="1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3" fontId="8" fillId="4" borderId="21" xfId="0" applyNumberFormat="1" applyFont="1" applyFill="1" applyBorder="1" applyAlignment="1">
      <alignment horizontal="center" vertical="center" wrapText="1"/>
    </xf>
    <xf numFmtId="3" fontId="8" fillId="4" borderId="16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19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</xdr:colOff>
      <xdr:row>0</xdr:row>
      <xdr:rowOff>0</xdr:rowOff>
    </xdr:from>
    <xdr:to>
      <xdr:col>0</xdr:col>
      <xdr:colOff>2674754</xdr:colOff>
      <xdr:row>5</xdr:row>
      <xdr:rowOff>49518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CF6F-A0B9-4286-84F6-34BFDE8CB9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" y="0"/>
          <a:ext cx="2662848" cy="9424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9AA20-4E4E-4CF9-A7C7-224BB58F42D5}">
  <sheetPr>
    <pageSetUpPr fitToPage="1"/>
  </sheetPr>
  <dimension ref="A7:S52"/>
  <sheetViews>
    <sheetView tabSelected="1" topLeftCell="A20" zoomScale="80" zoomScaleNormal="80" workbookViewId="0">
      <selection activeCell="A49" sqref="A49:M49"/>
    </sheetView>
  </sheetViews>
  <sheetFormatPr baseColWidth="10" defaultColWidth="11.453125" defaultRowHeight="14.5"/>
  <cols>
    <col min="1" max="1" width="60" customWidth="1"/>
    <col min="2" max="2" width="20.7265625" bestFit="1" customWidth="1"/>
    <col min="3" max="3" width="19.54296875" customWidth="1"/>
    <col min="4" max="4" width="19.1796875" customWidth="1"/>
    <col min="5" max="5" width="18.26953125" customWidth="1"/>
    <col min="6" max="6" width="18.81640625" customWidth="1"/>
    <col min="7" max="7" width="16.81640625" customWidth="1"/>
    <col min="8" max="8" width="19.26953125" customWidth="1"/>
    <col min="9" max="9" width="15" customWidth="1"/>
    <col min="10" max="10" width="19.54296875" customWidth="1"/>
    <col min="11" max="11" width="14.54296875" customWidth="1"/>
    <col min="12" max="12" width="19.453125" bestFit="1" customWidth="1"/>
    <col min="13" max="13" width="15.1796875" customWidth="1"/>
    <col min="14" max="14" width="19.453125" bestFit="1" customWidth="1"/>
    <col min="15" max="15" width="15.81640625" customWidth="1"/>
    <col min="16" max="16" width="19.453125" bestFit="1" customWidth="1"/>
    <col min="17" max="17" width="15.453125" customWidth="1"/>
    <col min="18" max="18" width="19.453125" bestFit="1" customWidth="1"/>
    <col min="19" max="19" width="14.26953125" customWidth="1"/>
  </cols>
  <sheetData>
    <row r="7" spans="1:8" ht="15" thickBot="1">
      <c r="A7" s="12"/>
      <c r="B7" s="12"/>
      <c r="C7" s="12"/>
      <c r="D7" s="12"/>
      <c r="E7" s="12"/>
    </row>
    <row r="8" spans="1:8" ht="14.5" customHeight="1" thickTop="1">
      <c r="A8" s="61" t="s">
        <v>0</v>
      </c>
      <c r="B8" s="62"/>
      <c r="C8" s="62"/>
      <c r="D8" s="62"/>
      <c r="E8" s="62"/>
      <c r="F8" s="62"/>
      <c r="G8" s="62"/>
      <c r="H8" s="63"/>
    </row>
    <row r="9" spans="1:8" ht="14.5" customHeight="1" thickBot="1">
      <c r="A9" s="64"/>
      <c r="B9" s="65"/>
      <c r="C9" s="65"/>
      <c r="D9" s="65"/>
      <c r="E9" s="65"/>
      <c r="F9" s="65"/>
      <c r="G9" s="65"/>
      <c r="H9" s="66"/>
    </row>
    <row r="10" spans="1:8" ht="14.5" customHeight="1" thickTop="1" thickBot="1">
      <c r="A10" s="4"/>
      <c r="B10" s="4"/>
      <c r="C10" s="4"/>
      <c r="D10" s="4"/>
      <c r="E10" s="4"/>
    </row>
    <row r="11" spans="1:8" ht="23.5" customHeight="1" thickTop="1">
      <c r="A11" s="78" t="s">
        <v>1</v>
      </c>
      <c r="B11" s="79"/>
      <c r="C11" s="79"/>
      <c r="D11" s="79"/>
      <c r="E11" s="79"/>
      <c r="F11" s="79"/>
      <c r="G11" s="79"/>
      <c r="H11" s="80"/>
    </row>
    <row r="12" spans="1:8" ht="27.65" customHeight="1" thickBot="1">
      <c r="A12" s="81" t="s">
        <v>41</v>
      </c>
      <c r="B12" s="82"/>
      <c r="C12" s="82"/>
      <c r="D12" s="82"/>
      <c r="E12" s="82"/>
      <c r="F12" s="82"/>
      <c r="G12" s="82"/>
      <c r="H12" s="83"/>
    </row>
    <row r="13" spans="1:8" ht="14.5" customHeight="1" thickTop="1" thickBot="1">
      <c r="A13" s="5"/>
      <c r="B13" s="5"/>
      <c r="C13" s="5"/>
      <c r="D13" s="5"/>
      <c r="E13" s="5"/>
    </row>
    <row r="14" spans="1:8" ht="81" customHeight="1" thickTop="1" thickBot="1">
      <c r="A14" s="59" t="s">
        <v>2</v>
      </c>
      <c r="B14" s="60"/>
      <c r="C14" s="6" t="s">
        <v>43</v>
      </c>
      <c r="D14" s="6" t="s">
        <v>3</v>
      </c>
      <c r="E14" s="67" t="s">
        <v>4</v>
      </c>
      <c r="F14" s="68"/>
      <c r="G14" s="68"/>
      <c r="H14" s="69"/>
    </row>
    <row r="15" spans="1:8" ht="24" customHeight="1" thickBot="1">
      <c r="A15" s="76" t="s">
        <v>42</v>
      </c>
      <c r="B15" s="77"/>
      <c r="C15" s="52">
        <v>23735</v>
      </c>
      <c r="D15" s="7" t="s">
        <v>48</v>
      </c>
      <c r="E15" s="70" t="s">
        <v>47</v>
      </c>
      <c r="F15" s="71"/>
      <c r="G15" s="71"/>
      <c r="H15" s="72"/>
    </row>
    <row r="16" spans="1:8" ht="14.5" customHeight="1" thickBot="1">
      <c r="A16" s="8"/>
      <c r="B16" s="8"/>
      <c r="D16" s="9"/>
      <c r="E16" s="10"/>
    </row>
    <row r="17" spans="1:19" ht="54.65" customHeight="1" thickTop="1" thickBot="1">
      <c r="A17" s="84" t="s">
        <v>5</v>
      </c>
      <c r="B17" s="85"/>
      <c r="C17" s="73"/>
      <c r="D17" s="74"/>
      <c r="E17" s="74"/>
      <c r="F17" s="74"/>
      <c r="G17" s="74"/>
      <c r="H17" s="75"/>
    </row>
    <row r="18" spans="1:19" ht="20" thickTop="1">
      <c r="A18" s="1"/>
      <c r="B18" s="1"/>
      <c r="C18" s="11"/>
      <c r="D18" s="11"/>
      <c r="E18" s="11"/>
    </row>
    <row r="19" spans="1:19" s="2" customFormat="1" ht="18.75" customHeight="1" thickBot="1"/>
    <row r="20" spans="1:19" s="2" customFormat="1" ht="23.5" thickBot="1">
      <c r="A20" s="1"/>
      <c r="B20" s="90" t="s">
        <v>6</v>
      </c>
      <c r="C20" s="91"/>
      <c r="D20" s="92" t="s">
        <v>7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spans="1:19" s="2" customFormat="1" ht="18.649999999999999" customHeight="1" thickTop="1">
      <c r="A21" s="18"/>
      <c r="B21" s="19" t="s">
        <v>8</v>
      </c>
      <c r="C21" s="19" t="s">
        <v>9</v>
      </c>
      <c r="D21" s="94" t="s">
        <v>10</v>
      </c>
      <c r="E21" s="95"/>
      <c r="F21" s="94" t="s">
        <v>11</v>
      </c>
      <c r="G21" s="95"/>
      <c r="H21" s="94" t="s">
        <v>12</v>
      </c>
      <c r="I21" s="95"/>
      <c r="J21" s="94" t="s">
        <v>13</v>
      </c>
      <c r="K21" s="95"/>
      <c r="L21" s="94" t="s">
        <v>14</v>
      </c>
      <c r="M21" s="95"/>
      <c r="N21" s="94" t="s">
        <v>15</v>
      </c>
      <c r="O21" s="95"/>
      <c r="P21" s="94" t="s">
        <v>16</v>
      </c>
      <c r="Q21" s="95"/>
      <c r="R21" s="94" t="s">
        <v>17</v>
      </c>
      <c r="S21" s="95"/>
    </row>
    <row r="22" spans="1:19" s="2" customFormat="1" ht="18.75" customHeight="1">
      <c r="A22" s="21" t="s">
        <v>18</v>
      </c>
      <c r="B22" s="44">
        <f>+IF(D22&lt;&gt;"",D22+F22+H22+J22+L22+N22+P22+R22,"")</f>
        <v>4291484.5199999996</v>
      </c>
      <c r="C22" s="20" t="str">
        <f>IFERROR(B22/$B$36,"")</f>
        <v/>
      </c>
      <c r="D22" s="24">
        <v>500000</v>
      </c>
      <c r="E22" s="20" t="str">
        <f>IFERROR(D22/$B$36,"")</f>
        <v/>
      </c>
      <c r="F22" s="24">
        <f>ROUND(D22*1.02,2)</f>
        <v>510000</v>
      </c>
      <c r="G22" s="26">
        <f>+IF(F22&lt;&gt;"",(F22-(D22))/D22,"")</f>
        <v>0.02</v>
      </c>
      <c r="H22" s="24">
        <f>ROUND(F22*1.02,2)</f>
        <v>520200</v>
      </c>
      <c r="I22" s="26">
        <f>+IF(H22&lt;&gt;"",(H22-(F22))/F22,"")</f>
        <v>0.02</v>
      </c>
      <c r="J22" s="24">
        <f>ROUND(H22*1.02,2)</f>
        <v>530604</v>
      </c>
      <c r="K22" s="26">
        <f>+IF(J22&lt;&gt;"",(J22-(H22))/H22,"")</f>
        <v>0.02</v>
      </c>
      <c r="L22" s="24">
        <f>ROUND(J22*1.02,2)</f>
        <v>541216.07999999996</v>
      </c>
      <c r="M22" s="26">
        <f>+IF(L22&lt;&gt;"",(L22-(J22))/J22,"")</f>
        <v>1.9999999999999921E-2</v>
      </c>
      <c r="N22" s="24">
        <f>ROUND(L22*1.02,2)</f>
        <v>552040.4</v>
      </c>
      <c r="O22" s="26">
        <f>+IF(N22&lt;&gt;"",(N22-(L22))/L22,"")</f>
        <v>1.9999997043694758E-2</v>
      </c>
      <c r="P22" s="24">
        <f>ROUND(N22*1.02,2)</f>
        <v>563081.21</v>
      </c>
      <c r="Q22" s="26">
        <f>+IF(P22&lt;&gt;"",(P22-(N22))/N22,"")</f>
        <v>2.0000003622923139E-2</v>
      </c>
      <c r="R22" s="24">
        <f>ROUND(P22*1.02,2)</f>
        <v>574342.82999999996</v>
      </c>
      <c r="S22" s="26">
        <f>+IF(R22&lt;&gt;"",(R22-(P22))/P22,"")</f>
        <v>1.9999992541040387E-2</v>
      </c>
    </row>
    <row r="23" spans="1:19" s="2" customFormat="1" ht="18.75" customHeight="1">
      <c r="A23" s="21" t="s">
        <v>19</v>
      </c>
      <c r="B23" s="44" t="str">
        <f>+IF(D23&lt;&gt;"",D23+F23+H23+J23+L23+N23+P23+R23+#REF!+#REF!,"")</f>
        <v/>
      </c>
      <c r="C23" s="20" t="str">
        <f>IF(ISERR(+B23/$B$22),"",B23/$B$22)</f>
        <v/>
      </c>
      <c r="D23" s="51"/>
      <c r="E23" s="26">
        <f t="shared" ref="E23:E36" si="0">IF(ISERR(+D23/D$22),"",D23/D$22)</f>
        <v>0</v>
      </c>
      <c r="F23" s="51"/>
      <c r="G23" s="26">
        <f t="shared" ref="G23:G36" si="1">IF(ISERR(+F23/F$22),"",F23/F$22)</f>
        <v>0</v>
      </c>
      <c r="H23" s="51"/>
      <c r="I23" s="26">
        <f t="shared" ref="I23:I36" si="2">IF(ISERR(+H23/H$22),"",H23/H$22)</f>
        <v>0</v>
      </c>
      <c r="J23" s="51"/>
      <c r="K23" s="26">
        <f t="shared" ref="K23:K36" si="3">IF(ISERR(+J23/J$22),"",J23/J$22)</f>
        <v>0</v>
      </c>
      <c r="L23" s="51"/>
      <c r="M23" s="26">
        <f t="shared" ref="M23:M36" si="4">IF(ISERR(+L23/L$22),"",L23/L$22)</f>
        <v>0</v>
      </c>
      <c r="N23" s="51"/>
      <c r="O23" s="26">
        <f t="shared" ref="O23:O36" si="5">IF(ISERR(+N23/N$22),"",N23/N$22)</f>
        <v>0</v>
      </c>
      <c r="P23" s="51"/>
      <c r="Q23" s="26">
        <f t="shared" ref="Q23:Q36" si="6">IF(ISERR(+P23/P$22),"",P23/P$22)</f>
        <v>0</v>
      </c>
      <c r="R23" s="51"/>
      <c r="S23" s="26">
        <f t="shared" ref="S23:S36" si="7">IF(ISERR(+R23/R$22),"",R23/R$22)</f>
        <v>0</v>
      </c>
    </row>
    <row r="24" spans="1:19" s="2" customFormat="1" ht="18.75" customHeight="1">
      <c r="A24" s="22" t="s">
        <v>20</v>
      </c>
      <c r="B24" s="45" t="str">
        <f>+IFERROR(B22-B23,"")</f>
        <v/>
      </c>
      <c r="C24" s="23" t="str">
        <f>IF(ISERR(+B24/$B$22),"",B24/$B$22)</f>
        <v/>
      </c>
      <c r="D24" s="23">
        <f>IF(D22="","",D22-D23)</f>
        <v>500000</v>
      </c>
      <c r="E24" s="27">
        <f t="shared" si="0"/>
        <v>1</v>
      </c>
      <c r="F24" s="23">
        <f>IF(F22="","",F22-F23)</f>
        <v>510000</v>
      </c>
      <c r="G24" s="27">
        <f t="shared" si="1"/>
        <v>1</v>
      </c>
      <c r="H24" s="23">
        <f>IF(H22="","",H22-H23)</f>
        <v>520200</v>
      </c>
      <c r="I24" s="27">
        <f t="shared" si="2"/>
        <v>1</v>
      </c>
      <c r="J24" s="23">
        <f>IF(J22="","",J22-J23)</f>
        <v>530604</v>
      </c>
      <c r="K24" s="27">
        <f t="shared" si="3"/>
        <v>1</v>
      </c>
      <c r="L24" s="23">
        <f>IF(L22="","",L22-L23)</f>
        <v>541216.07999999996</v>
      </c>
      <c r="M24" s="27">
        <f t="shared" si="4"/>
        <v>1</v>
      </c>
      <c r="N24" s="23">
        <f>IF(N22="","",N22-N23)</f>
        <v>552040.4</v>
      </c>
      <c r="O24" s="27">
        <f t="shared" si="5"/>
        <v>1</v>
      </c>
      <c r="P24" s="23">
        <f>IF(P22="","",P22-P23)</f>
        <v>563081.21</v>
      </c>
      <c r="Q24" s="27">
        <f t="shared" si="6"/>
        <v>1</v>
      </c>
      <c r="R24" s="23">
        <f>IF(R22="","",R22-R23)</f>
        <v>574342.82999999996</v>
      </c>
      <c r="S24" s="27">
        <f t="shared" si="7"/>
        <v>1</v>
      </c>
    </row>
    <row r="25" spans="1:19" s="2" customFormat="1" ht="18.75" customHeight="1">
      <c r="A25" s="21" t="s">
        <v>21</v>
      </c>
      <c r="B25" s="44" t="str">
        <f>+IF(D25&lt;&gt;"",D25+F25+H25+J25+L25+N25+P25+R25+#REF!+#REF!,"")</f>
        <v/>
      </c>
      <c r="C25" s="31" t="str">
        <f>IF(ISERR(+B25/$B$22),"",B25/$B$22)</f>
        <v/>
      </c>
      <c r="D25" s="51"/>
      <c r="E25" s="26">
        <f t="shared" si="0"/>
        <v>0</v>
      </c>
      <c r="F25" s="51"/>
      <c r="G25" s="26">
        <f t="shared" si="1"/>
        <v>0</v>
      </c>
      <c r="H25" s="51"/>
      <c r="I25" s="26">
        <f t="shared" si="2"/>
        <v>0</v>
      </c>
      <c r="J25" s="51"/>
      <c r="K25" s="26">
        <f t="shared" si="3"/>
        <v>0</v>
      </c>
      <c r="L25" s="51"/>
      <c r="M25" s="26">
        <f t="shared" si="4"/>
        <v>0</v>
      </c>
      <c r="N25" s="51"/>
      <c r="O25" s="26">
        <f t="shared" si="5"/>
        <v>0</v>
      </c>
      <c r="P25" s="51"/>
      <c r="Q25" s="26">
        <f t="shared" si="6"/>
        <v>0</v>
      </c>
      <c r="R25" s="51"/>
      <c r="S25" s="26">
        <f t="shared" si="7"/>
        <v>0</v>
      </c>
    </row>
    <row r="26" spans="1:19" s="2" customFormat="1" ht="18.75" customHeight="1">
      <c r="A26" s="21" t="s">
        <v>46</v>
      </c>
      <c r="B26" s="44" t="str">
        <f>+IF(D26&lt;&gt;"",D26+F26+H26+J26+L26+N26+P26+R26+#REF!+#REF!,"")</f>
        <v/>
      </c>
      <c r="C26" s="20" t="str">
        <f t="shared" ref="C26:C35" si="8">IF(ISERR(+B26/$B$22),"",B26/$B$22)</f>
        <v/>
      </c>
      <c r="D26" s="51"/>
      <c r="E26" s="26">
        <f t="shared" si="0"/>
        <v>0</v>
      </c>
      <c r="F26" s="51"/>
      <c r="G26" s="26">
        <f t="shared" si="1"/>
        <v>0</v>
      </c>
      <c r="H26" s="51"/>
      <c r="I26" s="26">
        <f t="shared" si="2"/>
        <v>0</v>
      </c>
      <c r="J26" s="51"/>
      <c r="K26" s="26">
        <f t="shared" si="3"/>
        <v>0</v>
      </c>
      <c r="L26" s="51"/>
      <c r="M26" s="26">
        <f t="shared" si="4"/>
        <v>0</v>
      </c>
      <c r="N26" s="51"/>
      <c r="O26" s="26">
        <f t="shared" si="5"/>
        <v>0</v>
      </c>
      <c r="P26" s="51"/>
      <c r="Q26" s="26">
        <f t="shared" si="6"/>
        <v>0</v>
      </c>
      <c r="R26" s="51"/>
      <c r="S26" s="26">
        <f t="shared" si="7"/>
        <v>0</v>
      </c>
    </row>
    <row r="27" spans="1:19" s="2" customFormat="1" ht="18.75" customHeight="1">
      <c r="A27" s="21" t="s">
        <v>22</v>
      </c>
      <c r="B27" s="44" t="str">
        <f>+IF(D27&lt;&gt;"",D27+F27+H27+J27+L27+N27+P27+R27+#REF!+#REF!,"")</f>
        <v/>
      </c>
      <c r="C27" s="20" t="str">
        <f t="shared" si="8"/>
        <v/>
      </c>
      <c r="D27" s="51"/>
      <c r="E27" s="26">
        <f t="shared" si="0"/>
        <v>0</v>
      </c>
      <c r="F27" s="51"/>
      <c r="G27" s="26">
        <f t="shared" si="1"/>
        <v>0</v>
      </c>
      <c r="H27" s="51"/>
      <c r="I27" s="26">
        <f t="shared" si="2"/>
        <v>0</v>
      </c>
      <c r="J27" s="51"/>
      <c r="K27" s="26">
        <f t="shared" si="3"/>
        <v>0</v>
      </c>
      <c r="L27" s="51"/>
      <c r="M27" s="26">
        <f t="shared" si="4"/>
        <v>0</v>
      </c>
      <c r="N27" s="51"/>
      <c r="O27" s="26">
        <f t="shared" si="5"/>
        <v>0</v>
      </c>
      <c r="P27" s="51"/>
      <c r="Q27" s="26">
        <f t="shared" si="6"/>
        <v>0</v>
      </c>
      <c r="R27" s="51"/>
      <c r="S27" s="26">
        <f t="shared" si="7"/>
        <v>0</v>
      </c>
    </row>
    <row r="28" spans="1:19" s="2" customFormat="1" ht="18.649999999999999" customHeight="1">
      <c r="A28" s="21" t="s">
        <v>23</v>
      </c>
      <c r="B28" s="44" t="str">
        <f>+IF(D28&lt;&gt;"",D28+F28+H28+J28+L28+N28+P28+R28+#REF!+#REF!,"")</f>
        <v/>
      </c>
      <c r="C28" s="20" t="str">
        <f t="shared" si="8"/>
        <v/>
      </c>
      <c r="D28" s="51"/>
      <c r="E28" s="26">
        <f t="shared" si="0"/>
        <v>0</v>
      </c>
      <c r="F28" s="51"/>
      <c r="G28" s="26">
        <f t="shared" si="1"/>
        <v>0</v>
      </c>
      <c r="H28" s="51"/>
      <c r="I28" s="26">
        <f t="shared" si="2"/>
        <v>0</v>
      </c>
      <c r="J28" s="51"/>
      <c r="K28" s="26">
        <f t="shared" si="3"/>
        <v>0</v>
      </c>
      <c r="L28" s="51"/>
      <c r="M28" s="26">
        <f t="shared" si="4"/>
        <v>0</v>
      </c>
      <c r="N28" s="51"/>
      <c r="O28" s="26">
        <f t="shared" si="5"/>
        <v>0</v>
      </c>
      <c r="P28" s="51"/>
      <c r="Q28" s="26">
        <f t="shared" si="6"/>
        <v>0</v>
      </c>
      <c r="R28" s="51"/>
      <c r="S28" s="26">
        <f t="shared" si="7"/>
        <v>0</v>
      </c>
    </row>
    <row r="29" spans="1:19" s="2" customFormat="1" ht="18.649999999999999" customHeight="1">
      <c r="A29" s="21" t="s">
        <v>24</v>
      </c>
      <c r="B29" s="44" t="str">
        <f>+IF(D29&lt;&gt;"",D29+F29+H29+J29+L29+N29+P29+R29+#REF!+#REF!,"")</f>
        <v/>
      </c>
      <c r="C29" s="20" t="str">
        <f>IF(ISERR(+B29/$B$22),"",B29/$B$22)</f>
        <v/>
      </c>
      <c r="D29" s="51"/>
      <c r="E29" s="26">
        <f t="shared" si="0"/>
        <v>0</v>
      </c>
      <c r="F29" s="51"/>
      <c r="G29" s="26">
        <f t="shared" si="1"/>
        <v>0</v>
      </c>
      <c r="H29" s="51"/>
      <c r="I29" s="26">
        <f t="shared" si="2"/>
        <v>0</v>
      </c>
      <c r="J29" s="51"/>
      <c r="K29" s="26">
        <f t="shared" si="3"/>
        <v>0</v>
      </c>
      <c r="L29" s="51"/>
      <c r="M29" s="26">
        <f t="shared" si="4"/>
        <v>0</v>
      </c>
      <c r="N29" s="51"/>
      <c r="O29" s="26">
        <f t="shared" si="5"/>
        <v>0</v>
      </c>
      <c r="P29" s="51"/>
      <c r="Q29" s="26">
        <f t="shared" si="6"/>
        <v>0</v>
      </c>
      <c r="R29" s="51"/>
      <c r="S29" s="26">
        <f t="shared" si="7"/>
        <v>0</v>
      </c>
    </row>
    <row r="30" spans="1:19" s="2" customFormat="1" ht="18.75" customHeight="1">
      <c r="A30" s="21" t="s">
        <v>25</v>
      </c>
      <c r="B30" s="44" t="str">
        <f>+IF(D30&lt;&gt;"",D30+F30+H30+J30+L30+N30+P30+R30+#REF!+#REF!,"")</f>
        <v/>
      </c>
      <c r="C30" s="20" t="str">
        <f t="shared" si="8"/>
        <v/>
      </c>
      <c r="D30" s="51"/>
      <c r="E30" s="26">
        <f t="shared" si="0"/>
        <v>0</v>
      </c>
      <c r="F30" s="51"/>
      <c r="G30" s="26">
        <f t="shared" si="1"/>
        <v>0</v>
      </c>
      <c r="H30" s="51"/>
      <c r="I30" s="26">
        <f t="shared" si="2"/>
        <v>0</v>
      </c>
      <c r="J30" s="51"/>
      <c r="K30" s="26">
        <f t="shared" si="3"/>
        <v>0</v>
      </c>
      <c r="L30" s="51"/>
      <c r="M30" s="26">
        <f t="shared" si="4"/>
        <v>0</v>
      </c>
      <c r="N30" s="51"/>
      <c r="O30" s="26">
        <f t="shared" si="5"/>
        <v>0</v>
      </c>
      <c r="P30" s="51"/>
      <c r="Q30" s="26">
        <f t="shared" si="6"/>
        <v>0</v>
      </c>
      <c r="R30" s="51"/>
      <c r="S30" s="26">
        <f t="shared" si="7"/>
        <v>0</v>
      </c>
    </row>
    <row r="31" spans="1:19" s="2" customFormat="1" ht="18.75" customHeight="1">
      <c r="A31" s="21" t="s">
        <v>26</v>
      </c>
      <c r="B31" s="44" t="str">
        <f>+IF(D31&lt;&gt;"",D31+F31+H31+J31+L31+N31+P31+R31+#REF!+#REF!,"")</f>
        <v/>
      </c>
      <c r="C31" s="20" t="str">
        <f t="shared" si="8"/>
        <v/>
      </c>
      <c r="D31" s="51"/>
      <c r="E31" s="26">
        <f t="shared" si="0"/>
        <v>0</v>
      </c>
      <c r="F31" s="51"/>
      <c r="G31" s="26">
        <f t="shared" si="1"/>
        <v>0</v>
      </c>
      <c r="H31" s="51"/>
      <c r="I31" s="26">
        <f t="shared" si="2"/>
        <v>0</v>
      </c>
      <c r="J31" s="51"/>
      <c r="K31" s="26">
        <f t="shared" si="3"/>
        <v>0</v>
      </c>
      <c r="L31" s="51"/>
      <c r="M31" s="26">
        <f t="shared" si="4"/>
        <v>0</v>
      </c>
      <c r="N31" s="51"/>
      <c r="O31" s="26">
        <f t="shared" si="5"/>
        <v>0</v>
      </c>
      <c r="P31" s="51"/>
      <c r="Q31" s="26">
        <f t="shared" si="6"/>
        <v>0</v>
      </c>
      <c r="R31" s="51"/>
      <c r="S31" s="26">
        <f t="shared" si="7"/>
        <v>0</v>
      </c>
    </row>
    <row r="32" spans="1:19" s="2" customFormat="1" ht="18.75" customHeight="1">
      <c r="A32" s="21" t="s">
        <v>27</v>
      </c>
      <c r="B32" s="44" t="str">
        <f>+IF(D32&lt;&gt;"",D32+F32+H32+J32+L32+N32+P32+R32+#REF!+#REF!,"")</f>
        <v/>
      </c>
      <c r="C32" s="20" t="str">
        <f t="shared" si="8"/>
        <v/>
      </c>
      <c r="D32" s="51"/>
      <c r="E32" s="26">
        <f t="shared" si="0"/>
        <v>0</v>
      </c>
      <c r="F32" s="51"/>
      <c r="G32" s="26">
        <f t="shared" si="1"/>
        <v>0</v>
      </c>
      <c r="H32" s="51"/>
      <c r="I32" s="26">
        <f t="shared" si="2"/>
        <v>0</v>
      </c>
      <c r="J32" s="51"/>
      <c r="K32" s="26">
        <f t="shared" si="3"/>
        <v>0</v>
      </c>
      <c r="L32" s="51"/>
      <c r="M32" s="26">
        <f t="shared" si="4"/>
        <v>0</v>
      </c>
      <c r="N32" s="51"/>
      <c r="O32" s="26">
        <f t="shared" si="5"/>
        <v>0</v>
      </c>
      <c r="P32" s="51"/>
      <c r="Q32" s="26">
        <f t="shared" si="6"/>
        <v>0</v>
      </c>
      <c r="R32" s="51"/>
      <c r="S32" s="26">
        <f t="shared" si="7"/>
        <v>0</v>
      </c>
    </row>
    <row r="33" spans="1:19" s="2" customFormat="1" ht="18.75" customHeight="1">
      <c r="A33" s="21" t="s">
        <v>28</v>
      </c>
      <c r="B33" s="44" t="str">
        <f>+IF(D33&lt;&gt;"",D33+F33+H33+J33+L33+N33+P33+R33+#REF!+#REF!,"")</f>
        <v/>
      </c>
      <c r="C33" s="20" t="str">
        <f t="shared" si="8"/>
        <v/>
      </c>
      <c r="D33" s="51"/>
      <c r="E33" s="26">
        <f t="shared" si="0"/>
        <v>0</v>
      </c>
      <c r="F33" s="51"/>
      <c r="G33" s="26">
        <f t="shared" si="1"/>
        <v>0</v>
      </c>
      <c r="H33" s="51"/>
      <c r="I33" s="26">
        <f t="shared" si="2"/>
        <v>0</v>
      </c>
      <c r="J33" s="51"/>
      <c r="K33" s="26">
        <f t="shared" si="3"/>
        <v>0</v>
      </c>
      <c r="L33" s="51"/>
      <c r="M33" s="26">
        <f t="shared" si="4"/>
        <v>0</v>
      </c>
      <c r="N33" s="51"/>
      <c r="O33" s="26">
        <f t="shared" si="5"/>
        <v>0</v>
      </c>
      <c r="P33" s="51"/>
      <c r="Q33" s="26">
        <f t="shared" si="6"/>
        <v>0</v>
      </c>
      <c r="R33" s="51"/>
      <c r="S33" s="26">
        <f t="shared" si="7"/>
        <v>0</v>
      </c>
    </row>
    <row r="34" spans="1:19" s="2" customFormat="1" ht="18.75" customHeight="1">
      <c r="A34" s="22" t="s">
        <v>29</v>
      </c>
      <c r="B34" s="45">
        <f>IF(B22="","",SUM(B25:B33))</f>
        <v>0</v>
      </c>
      <c r="C34" s="27">
        <f>IF(ISERR(+B34/$B$22),"",B34/$B$22)</f>
        <v>0</v>
      </c>
      <c r="D34" s="23">
        <f>IF(D22&lt;&gt;"",SUM(D25:D33))</f>
        <v>0</v>
      </c>
      <c r="E34" s="27">
        <f t="shared" si="0"/>
        <v>0</v>
      </c>
      <c r="F34" s="23">
        <f>IF(F22&lt;&gt;"",SUM(F25:F33))</f>
        <v>0</v>
      </c>
      <c r="G34" s="27">
        <f t="shared" si="1"/>
        <v>0</v>
      </c>
      <c r="H34" s="23">
        <f>IF(H22&lt;&gt;"",SUM(H25:H33))</f>
        <v>0</v>
      </c>
      <c r="I34" s="27">
        <f t="shared" si="2"/>
        <v>0</v>
      </c>
      <c r="J34" s="23">
        <f>IF(J22&lt;&gt;"",SUM(J25:J33))</f>
        <v>0</v>
      </c>
      <c r="K34" s="27">
        <f t="shared" si="3"/>
        <v>0</v>
      </c>
      <c r="L34" s="23">
        <f>IF(L22&lt;&gt;"",SUM(L25:L33))</f>
        <v>0</v>
      </c>
      <c r="M34" s="27">
        <f t="shared" si="4"/>
        <v>0</v>
      </c>
      <c r="N34" s="23">
        <f>IF(N22&lt;&gt;"",SUM(N25:N33))</f>
        <v>0</v>
      </c>
      <c r="O34" s="27">
        <f t="shared" si="5"/>
        <v>0</v>
      </c>
      <c r="P34" s="23">
        <f>IF(P22&lt;&gt;"",SUM(P25:P33))</f>
        <v>0</v>
      </c>
      <c r="Q34" s="27">
        <f t="shared" si="6"/>
        <v>0</v>
      </c>
      <c r="R34" s="23">
        <f>IF(R22&lt;&gt;"",SUM(R25:R33))</f>
        <v>0</v>
      </c>
      <c r="S34" s="27">
        <f t="shared" si="7"/>
        <v>0</v>
      </c>
    </row>
    <row r="35" spans="1:19" s="2" customFormat="1" ht="18.75" customHeight="1">
      <c r="A35" s="21" t="s">
        <v>30</v>
      </c>
      <c r="B35" s="44" t="str">
        <f>+IF(D35&lt;&gt;"",D35+F35+H35+J35+L35+N35+P35+R35+#REF!+#REF!,"")</f>
        <v/>
      </c>
      <c r="C35" s="31" t="str">
        <f t="shared" si="8"/>
        <v/>
      </c>
      <c r="D35" s="51"/>
      <c r="E35" s="26">
        <f t="shared" si="0"/>
        <v>0</v>
      </c>
      <c r="F35" s="51"/>
      <c r="G35" s="26">
        <f t="shared" si="1"/>
        <v>0</v>
      </c>
      <c r="H35" s="51"/>
      <c r="I35" s="26">
        <f t="shared" si="2"/>
        <v>0</v>
      </c>
      <c r="J35" s="51"/>
      <c r="K35" s="26">
        <f t="shared" si="3"/>
        <v>0</v>
      </c>
      <c r="L35" s="51"/>
      <c r="M35" s="26">
        <f t="shared" si="4"/>
        <v>0</v>
      </c>
      <c r="N35" s="51"/>
      <c r="O35" s="26">
        <f t="shared" si="5"/>
        <v>0</v>
      </c>
      <c r="P35" s="51"/>
      <c r="Q35" s="26">
        <f t="shared" si="6"/>
        <v>0</v>
      </c>
      <c r="R35" s="51"/>
      <c r="S35" s="26">
        <f t="shared" si="7"/>
        <v>0</v>
      </c>
    </row>
    <row r="36" spans="1:19" s="2" customFormat="1" ht="18.75" customHeight="1">
      <c r="A36" s="22" t="s">
        <v>31</v>
      </c>
      <c r="B36" s="45" t="str">
        <f>IF(ISERR(B24-(B34+B35)),"",B24-(B34+B35))</f>
        <v/>
      </c>
      <c r="C36" s="27" t="str">
        <f>IF(ISERR(+B36/$B$22),"",B36/$B$22)</f>
        <v/>
      </c>
      <c r="D36" s="23">
        <f>IF(D24&lt;&gt;"",SUM((D24-(D34+E35))),"")</f>
        <v>500000</v>
      </c>
      <c r="E36" s="27">
        <f t="shared" si="0"/>
        <v>1</v>
      </c>
      <c r="F36" s="23">
        <f>IF(F24&lt;&gt;"",SUM((F24-(F34+G35))),"")</f>
        <v>510000</v>
      </c>
      <c r="G36" s="27">
        <f t="shared" si="1"/>
        <v>1</v>
      </c>
      <c r="H36" s="23">
        <f>IF(H24&lt;&gt;"",SUM((H24-(H34+I35))),"")</f>
        <v>520200</v>
      </c>
      <c r="I36" s="27">
        <f t="shared" si="2"/>
        <v>1</v>
      </c>
      <c r="J36" s="23">
        <f>IF(J24&lt;&gt;"",SUM((J24-(J34+K35))),"")</f>
        <v>530604</v>
      </c>
      <c r="K36" s="27">
        <f t="shared" si="3"/>
        <v>1</v>
      </c>
      <c r="L36" s="23">
        <f>IF(L24&lt;&gt;"",SUM((L24-(L34+M35))),"")</f>
        <v>541216.07999999996</v>
      </c>
      <c r="M36" s="27">
        <f t="shared" si="4"/>
        <v>1</v>
      </c>
      <c r="N36" s="23">
        <f>IF(N24&lt;&gt;"",SUM((N24-(N34+O35))),"")</f>
        <v>552040.4</v>
      </c>
      <c r="O36" s="27">
        <f t="shared" si="5"/>
        <v>1</v>
      </c>
      <c r="P36" s="23">
        <f>IF(P24&lt;&gt;"",SUM((P24-(P34+Q35))),"")</f>
        <v>563081.21</v>
      </c>
      <c r="Q36" s="27">
        <f t="shared" si="6"/>
        <v>1</v>
      </c>
      <c r="R36" s="23">
        <f>IF(R24&lt;&gt;"",SUM((R24-(R34+S35))),"")</f>
        <v>574342.82999999996</v>
      </c>
      <c r="S36" s="27">
        <f t="shared" si="7"/>
        <v>1</v>
      </c>
    </row>
    <row r="37" spans="1:19" s="2" customFormat="1" ht="36" customHeight="1">
      <c r="A37" s="25" t="s">
        <v>32</v>
      </c>
      <c r="B37" s="46">
        <f>+IF(D37&lt;&gt;"",D37+F37+H37+J37+L37+N37+P37+R37,"")</f>
        <v>386233.62</v>
      </c>
      <c r="C37" s="31">
        <f>B37/$B$22</f>
        <v>9.0000003075858703E-2</v>
      </c>
      <c r="D37" s="30">
        <v>45000</v>
      </c>
      <c r="E37" s="31">
        <f>D37/D$22</f>
        <v>0.09</v>
      </c>
      <c r="F37" s="30">
        <f>ROUND(D37*1.02,2)</f>
        <v>45900</v>
      </c>
      <c r="G37" s="31">
        <f>F37/F$22</f>
        <v>0.09</v>
      </c>
      <c r="H37" s="30">
        <f>ROUND(F37*1.02,2)</f>
        <v>46818</v>
      </c>
      <c r="I37" s="31">
        <f>H37/H$22</f>
        <v>0.09</v>
      </c>
      <c r="J37" s="30">
        <f>ROUND(H37*1.02,2)</f>
        <v>47754.36</v>
      </c>
      <c r="K37" s="31">
        <f>J37/J$22</f>
        <v>0.09</v>
      </c>
      <c r="L37" s="30">
        <f>ROUND(J37*1.02,2)</f>
        <v>48709.45</v>
      </c>
      <c r="M37" s="31">
        <f>L37/L$22</f>
        <v>9.0000005173534389E-2</v>
      </c>
      <c r="N37" s="30">
        <f>ROUND(L37*1.02,2)</f>
        <v>49683.64</v>
      </c>
      <c r="O37" s="31">
        <f>N37/N$22</f>
        <v>9.0000007245846489E-2</v>
      </c>
      <c r="P37" s="30">
        <f>ROUND(N37*1.02,2)</f>
        <v>50677.31</v>
      </c>
      <c r="Q37" s="31">
        <f>P37/P$22</f>
        <v>9.0000001953537037E-2</v>
      </c>
      <c r="R37" s="30">
        <f>ROUND(P37*1.02,2)</f>
        <v>51690.86</v>
      </c>
      <c r="S37" s="31">
        <f>R37/R$22</f>
        <v>9.0000009227937966E-2</v>
      </c>
    </row>
    <row r="38" spans="1:19" s="2" customFormat="1" ht="36" hidden="1" customHeight="1">
      <c r="A38" s="29" t="s">
        <v>33</v>
      </c>
      <c r="B38" s="32" t="str">
        <f>+IF(D38&lt;&gt;"",D38+F38+H38+J38+L38+N38+P38+R38+#REF!+#REF!,"")</f>
        <v/>
      </c>
      <c r="C38" s="33" t="str">
        <f>IF(ISERR(+B38/#REF!)," ",B38/#REF!)</f>
        <v xml:space="preserve"> </v>
      </c>
      <c r="D38" s="86" t="str">
        <f>IF(OR(D22="",E39=""),"",IF((D22*0.8*E44)&gt;D37,ROUND(D22*0.8*E44,0),IF(AND((D22*E44)&gt;=D37*0.8,(D22*0.8*E44)&lt;=D37),D37,"RENTA INFERIOR MÍNIMO ANUAL EXIGIDO")))</f>
        <v/>
      </c>
      <c r="E38" s="86"/>
      <c r="F38" s="86" t="str">
        <f>IF(OR(F22="",G39=""),"",IF((F22*0.8*G44)&gt;F37,ROUND(F22*0.8*G44,0),IF(AND((F22*G44)&gt;=F37*0.8,(F22*0.8*G44)&lt;=F37),F37,"RENTA INFERIOR MÍNIMO ANUAL EXIGIDO")))</f>
        <v/>
      </c>
      <c r="G38" s="86"/>
      <c r="H38" s="86" t="str">
        <f>IF(OR(H22="",I39=""),"",IF((H22*0.8*I44)&gt;H37,ROUND(H22*0.8*I44,0),IF(AND((H22*I44)&gt;=H37*0.8,(H22*0.8*I44)&lt;=H37),H37,"RENTA INFERIOR MÍNIMO ANUAL EXIGIDO")))</f>
        <v/>
      </c>
      <c r="I38" s="86"/>
      <c r="J38" s="86" t="str">
        <f>IF(OR(J22="",K39=""),"",IF((J22*0.8*K44)&gt;J37,ROUND(J22*0.8*K44,0),IF(AND((J22*K44)&gt;=J37*0.8,(J22*0.8*K44)&lt;=J37),J37,"RENTA INFERIOR MÍNIMO ANUAL EXIGIDO")))</f>
        <v/>
      </c>
      <c r="K38" s="86"/>
      <c r="L38" s="86" t="str">
        <f>IF(OR(L22="",M39=""),"",IF((L22*0.8*M44)&gt;L37,ROUND(L22*0.8*M44,0),IF(AND((L22*M44)&gt;=L37*0.8,(L22*0.8*M44)&lt;=L37),L37,"RENTA INFERIOR MÍNIMO ANUAL EXIGIDO")))</f>
        <v/>
      </c>
      <c r="M38" s="86"/>
      <c r="N38" s="86" t="str">
        <f>IF(OR(N22="",O39=""),"",IF((N22*0.8*O44)&gt;N37,ROUND(N22*0.8*O44,0),IF(AND((N22*O44)&gt;=N37*0.8,(N22*0.8*O44)&lt;=N37),N37,"RENTA INFERIOR MÍNIMO ANUAL EXIGIDO")))</f>
        <v/>
      </c>
      <c r="O38" s="86"/>
      <c r="P38" s="86" t="str">
        <f>IF(OR(P22="",Q39=""),"",IF((P22*0.8*Q44)&gt;P37,ROUND(P22*0.8*Q44,0),IF(AND((P22*Q44)&gt;=P37*0.8,(P22*0.8*Q44)&lt;=P37),P37,"RENTA INFERIOR MÍNIMO ANUAL EXIGIDO")))</f>
        <v/>
      </c>
      <c r="Q38" s="86"/>
      <c r="R38" s="86" t="str">
        <f>IF(OR(R22="",S39=""),"",IF((R22*0.8*S44)&gt;R37,ROUND(R22*0.8*S44,0),IF(AND((R22*S44)&gt;=R37*0.8,(R22*0.8*S44)&lt;=R37),R37,"RENTA INFERIOR MÍNIMO ANUAL EXIGIDO")))</f>
        <v/>
      </c>
      <c r="S38" s="86"/>
    </row>
    <row r="39" spans="1:19" s="2" customFormat="1" ht="83.5" customHeight="1">
      <c r="A39" s="29" t="s">
        <v>34</v>
      </c>
      <c r="B39" s="44">
        <f>+IF(D39&lt;&gt;"",D39+F39+H39+J39+L39+N39+P39+R39,"")</f>
        <v>0</v>
      </c>
      <c r="C39" s="31">
        <f>IF(ISERR(+B39/B$22)," ",B39/B$22)</f>
        <v>0</v>
      </c>
      <c r="D39" s="34">
        <f>+IF(D22&lt;&gt;"", ROUND(D22*E44,2),"")</f>
        <v>0</v>
      </c>
      <c r="E39" s="35"/>
      <c r="F39" s="34">
        <f>+IF(F22&lt;&gt;"", ROUND(F22*G44,2),"")</f>
        <v>0</v>
      </c>
      <c r="G39" s="35"/>
      <c r="H39" s="34">
        <f>+IF(H22&lt;&gt;"", ROUND(H22*I44,2),"")</f>
        <v>0</v>
      </c>
      <c r="I39" s="35"/>
      <c r="J39" s="34">
        <f>+IF(J22&lt;&gt;"", ROUND(J22*K44,2),"")</f>
        <v>0</v>
      </c>
      <c r="K39" s="35"/>
      <c r="L39" s="34">
        <f>+IF(L22&lt;&gt;"", ROUND(L22*M44,2),"")</f>
        <v>0</v>
      </c>
      <c r="M39" s="35"/>
      <c r="N39" s="34">
        <f>+IF(N22&lt;&gt;"", ROUND(N22*O44,2),"")</f>
        <v>0</v>
      </c>
      <c r="O39" s="35"/>
      <c r="P39" s="34">
        <f>+IF(P22&lt;&gt;"", ROUND(P22*Q44,2),"")</f>
        <v>0</v>
      </c>
      <c r="Q39" s="35"/>
      <c r="R39" s="34">
        <f>+IF(R22&lt;&gt;"", ROUND(R22*S44,2),"")</f>
        <v>0</v>
      </c>
      <c r="S39" s="35"/>
    </row>
    <row r="40" spans="1:19" s="2" customFormat="1" ht="18.649999999999999" hidden="1" customHeight="1">
      <c r="A40" s="25" t="s">
        <v>35</v>
      </c>
      <c r="B40" s="39">
        <f>+IF(D40&lt;&gt;"",D40+F40+H40+J40+L40+N40+P40+R40,"")</f>
        <v>386233.62</v>
      </c>
      <c r="C40" s="40">
        <f>IF(ISERR(+B40/B$22)," ",B40/B$22)</f>
        <v>9.0000003075858703E-2</v>
      </c>
      <c r="D40" s="36">
        <f>+IF(D39&lt;&gt;"", MAX(D37:D39),"")</f>
        <v>45000</v>
      </c>
      <c r="E40" s="37">
        <f>IF(ISERR(+D40/D$22)," ",D40/D$22)</f>
        <v>0.09</v>
      </c>
      <c r="F40" s="36">
        <f>+IF(F39&lt;&gt;"", MAX(F37:F39),"")</f>
        <v>45900</v>
      </c>
      <c r="G40" s="37">
        <f>IF(ISERR(+F40/F$22)," ",F40/F$22)</f>
        <v>0.09</v>
      </c>
      <c r="H40" s="36">
        <f>+IF(H39&lt;&gt;"", MAX(H37:H39),"")</f>
        <v>46818</v>
      </c>
      <c r="I40" s="37">
        <f>IF(ISERR(+H40/H$22)," ",H40/H$22)</f>
        <v>0.09</v>
      </c>
      <c r="J40" s="36">
        <f>+IF(J39&lt;&gt;"", MAX(J37:J39),"")</f>
        <v>47754.36</v>
      </c>
      <c r="K40" s="37">
        <f>IF(ISERR(+J40/J$22)," ",J40/J$22)</f>
        <v>0.09</v>
      </c>
      <c r="L40" s="36">
        <f>+IF(L39&lt;&gt;"", MAX(L37:L39),"")</f>
        <v>48709.45</v>
      </c>
      <c r="M40" s="37">
        <f>IF(ISERR(+L40/L$22)," ",L40/L$22)</f>
        <v>9.0000005173534389E-2</v>
      </c>
      <c r="N40" s="36">
        <f>+IF(N39&lt;&gt;"", MAX(N37:N39),"")</f>
        <v>49683.64</v>
      </c>
      <c r="O40" s="37">
        <f>IF(ISERR(+N40/N$22)," ",N40/N$22)</f>
        <v>9.0000007245846489E-2</v>
      </c>
      <c r="P40" s="36">
        <f>+IF(P39&lt;&gt;"", MAX(P37:P39),"")</f>
        <v>50677.31</v>
      </c>
      <c r="Q40" s="37">
        <f>IF(ISERR(+P40/P$22)," ",P40/P$22)</f>
        <v>9.0000001953537037E-2</v>
      </c>
      <c r="R40" s="36">
        <f>+IF(R39&lt;&gt;"", MAX(R37:R39),"")</f>
        <v>51690.86</v>
      </c>
      <c r="S40" s="37">
        <f>IF(ISERR(+R40/R$22)," ",R40/R$22)</f>
        <v>9.0000009227937966E-2</v>
      </c>
    </row>
    <row r="41" spans="1:19" s="2" customFormat="1" ht="18.649999999999999" customHeight="1">
      <c r="A41" s="38" t="s">
        <v>36</v>
      </c>
      <c r="B41" s="45" t="str">
        <f>IF(ISERR(B36-B40)," ", B36-B40)</f>
        <v xml:space="preserve"> </v>
      </c>
      <c r="C41" s="27" t="str">
        <f>IF(ISERR(+B41/#REF!)," ",B41/B$22)</f>
        <v xml:space="preserve"> </v>
      </c>
      <c r="D41" s="23">
        <f>+IF(D22&lt;&gt;"",D36-D40,"")</f>
        <v>455000</v>
      </c>
      <c r="E41" s="27">
        <f>IF(ISERR(+D41/D$22)," ",D41/D$22)</f>
        <v>0.91</v>
      </c>
      <c r="F41" s="23">
        <f>+IF(F22&lt;&gt;"",F36-F40,"")</f>
        <v>464100</v>
      </c>
      <c r="G41" s="27">
        <f>IF(ISERR(+F41/F$22)," ",F41/F$22)</f>
        <v>0.91</v>
      </c>
      <c r="H41" s="23">
        <f>+IF(H22&lt;&gt;"",H36-H40,"")</f>
        <v>473382</v>
      </c>
      <c r="I41" s="27">
        <f>IF(ISERR(+H41/H$22)," ",H41/H$22)</f>
        <v>0.91</v>
      </c>
      <c r="J41" s="23">
        <f>+IF(J22&lt;&gt;"",J36-J40,"")</f>
        <v>482849.64</v>
      </c>
      <c r="K41" s="27">
        <f>IF(ISERR(+J41/J$22)," ",J41/J$22)</f>
        <v>0.91</v>
      </c>
      <c r="L41" s="23">
        <f>+IF(L22&lt;&gt;"",L36-L40,"")</f>
        <v>492506.62999999995</v>
      </c>
      <c r="M41" s="27">
        <f>IF(ISERR(+L41/L$22)," ",L41/L$22)</f>
        <v>0.90999999482646554</v>
      </c>
      <c r="N41" s="23">
        <f>+IF(N22&lt;&gt;"",N36-N40,"")</f>
        <v>502356.76</v>
      </c>
      <c r="O41" s="27">
        <f>IF(ISERR(+N41/N$22)," ",N41/N$22)</f>
        <v>0.90999999275415344</v>
      </c>
      <c r="P41" s="23">
        <f>+IF(P22&lt;&gt;"",P36-P40,"")</f>
        <v>512403.89999999997</v>
      </c>
      <c r="Q41" s="27">
        <f>IF(ISERR(+P41/P$22)," ",P41/P$22)</f>
        <v>0.90999999804646292</v>
      </c>
      <c r="R41" s="23">
        <f>+IF(R22&lt;&gt;"",R36-R40,"")</f>
        <v>522651.97</v>
      </c>
      <c r="S41" s="27">
        <f>IF(ISERR(+R41/R$22)," ",R41/R$22)</f>
        <v>0.90999999077206206</v>
      </c>
    </row>
    <row r="42" spans="1:19" s="2" customFormat="1" ht="15">
      <c r="A42" s="29" t="s">
        <v>37</v>
      </c>
      <c r="B42" s="44" t="str">
        <f>+IF(D42&lt;&gt;"",D42+F42+H42+J42+L42+N42+P42+R42+#REF!+#REF!,"")</f>
        <v/>
      </c>
      <c r="C42" s="31" t="str">
        <f>IF(ISERR(+B42/B$22)," ",B42/B$22)</f>
        <v xml:space="preserve"> </v>
      </c>
      <c r="D42" s="42"/>
      <c r="E42" s="26">
        <f>IF(ISERR(+D42/D$22),"",D42/D$22)</f>
        <v>0</v>
      </c>
      <c r="F42" s="42"/>
      <c r="G42" s="26">
        <f t="shared" ref="G42:S42" si="9">IF(ISERR(+F42/F$22),"",F42/F$22)</f>
        <v>0</v>
      </c>
      <c r="H42" s="42"/>
      <c r="I42" s="26">
        <f t="shared" si="9"/>
        <v>0</v>
      </c>
      <c r="J42" s="42"/>
      <c r="K42" s="26">
        <f t="shared" si="9"/>
        <v>0</v>
      </c>
      <c r="L42" s="42"/>
      <c r="M42" s="26">
        <f t="shared" si="9"/>
        <v>0</v>
      </c>
      <c r="N42" s="42"/>
      <c r="O42" s="26">
        <f t="shared" si="9"/>
        <v>0</v>
      </c>
      <c r="P42" s="42"/>
      <c r="Q42" s="26">
        <f t="shared" si="9"/>
        <v>0</v>
      </c>
      <c r="R42" s="42"/>
      <c r="S42" s="26">
        <f t="shared" si="9"/>
        <v>0</v>
      </c>
    </row>
    <row r="43" spans="1:19" s="2" customFormat="1" ht="15" thickBot="1">
      <c r="A43" s="47" t="s">
        <v>38</v>
      </c>
      <c r="B43" s="48" t="str">
        <f>IF(ISERR(B41-B42)," ",B41-B42)</f>
        <v xml:space="preserve"> </v>
      </c>
      <c r="C43" s="49" t="str">
        <f>IF(ISERR(+B43/B$22)," ",B43/B$22)</f>
        <v xml:space="preserve"> </v>
      </c>
      <c r="D43" s="50">
        <f>+IF(D41&lt;&gt;"",D41-D42,"")</f>
        <v>455000</v>
      </c>
      <c r="E43" s="49">
        <f>IF(ISERR(+D43/D$22)," ",D43/D$22)</f>
        <v>0.91</v>
      </c>
      <c r="F43" s="50">
        <f>+IF(F41&lt;&gt;"",F41-F42,"")</f>
        <v>464100</v>
      </c>
      <c r="G43" s="49">
        <f>IF(ISERR(+F43/F$22)," ",F43/F$22)</f>
        <v>0.91</v>
      </c>
      <c r="H43" s="50">
        <f>+IF(H41&lt;&gt;"",H41-H42,"")</f>
        <v>473382</v>
      </c>
      <c r="I43" s="49">
        <f>IF(ISERR(+H43/H$22)," ",H43/H$22)</f>
        <v>0.91</v>
      </c>
      <c r="J43" s="50">
        <f>+IF(J41&lt;&gt;"",J41-J42,"")</f>
        <v>482849.64</v>
      </c>
      <c r="K43" s="49">
        <f>IF(ISERR(+J43/J$22)," ",J43/J$22)</f>
        <v>0.91</v>
      </c>
      <c r="L43" s="50">
        <f>+IF(L41&lt;&gt;"",L41-L42,"")</f>
        <v>492506.62999999995</v>
      </c>
      <c r="M43" s="49">
        <f>IF(ISERR(+L43/L$22)," ",L43/L$22)</f>
        <v>0.90999999482646554</v>
      </c>
      <c r="N43" s="50">
        <f>+IF(N41&lt;&gt;"",N41-N42,"")</f>
        <v>502356.76</v>
      </c>
      <c r="O43" s="49">
        <f>IF(ISERR(+N43/N$22)," ",N43/N$22)</f>
        <v>0.90999999275415344</v>
      </c>
      <c r="P43" s="50">
        <f>+IF(P41&lt;&gt;"",P41-P42,"")</f>
        <v>512403.89999999997</v>
      </c>
      <c r="Q43" s="49">
        <f>IF(ISERR(+P43/P$22)," ",P43/P$22)</f>
        <v>0.90999999804646292</v>
      </c>
      <c r="R43" s="50">
        <f>+IF(R41&lt;&gt;"",R41-R42,"")</f>
        <v>522651.97</v>
      </c>
      <c r="S43" s="49">
        <f>IF(ISERR(+R43/R$22)," ",R43/R$22)</f>
        <v>0.90999999077206206</v>
      </c>
    </row>
    <row r="44" spans="1:19" s="2" customFormat="1" ht="18" hidden="1" thickTop="1">
      <c r="A44" s="43"/>
      <c r="B44" s="41"/>
      <c r="C44" s="41"/>
      <c r="D44" s="41"/>
      <c r="E44" s="28">
        <f>ROUND(E39,3)</f>
        <v>0</v>
      </c>
      <c r="F44" s="41"/>
      <c r="G44" s="28">
        <f>ROUND(G39,3)</f>
        <v>0</v>
      </c>
      <c r="H44" s="41"/>
      <c r="I44" s="28">
        <f>ROUND(I39,3)</f>
        <v>0</v>
      </c>
      <c r="J44" s="28"/>
      <c r="K44" s="28">
        <f>ROUND(K39,3)</f>
        <v>0</v>
      </c>
      <c r="L44" s="28"/>
      <c r="M44" s="28">
        <f>ROUND(M39,3)</f>
        <v>0</v>
      </c>
      <c r="N44" s="41"/>
      <c r="O44" s="28">
        <f>ROUND(O39,3)</f>
        <v>0</v>
      </c>
      <c r="P44" s="28"/>
      <c r="Q44" s="28">
        <f>ROUND(Q39,3)</f>
        <v>0</v>
      </c>
      <c r="R44" s="28"/>
      <c r="S44" s="28">
        <f>ROUND(S39,3)</f>
        <v>0</v>
      </c>
    </row>
    <row r="45" spans="1:19" s="2" customFormat="1" ht="18" thickTop="1">
      <c r="A45" s="43"/>
      <c r="B45" s="41"/>
      <c r="C45" s="41"/>
      <c r="D45" s="41"/>
      <c r="E45" s="28"/>
      <c r="F45" s="41"/>
      <c r="G45" s="28"/>
      <c r="H45" s="41"/>
      <c r="I45" s="28"/>
      <c r="J45" s="28"/>
      <c r="K45" s="28"/>
      <c r="L45" s="28"/>
      <c r="M45" s="28"/>
      <c r="N45" s="41"/>
      <c r="O45" s="28"/>
      <c r="P45" s="28"/>
      <c r="Q45" s="28"/>
      <c r="R45" s="28"/>
      <c r="S45" s="28"/>
    </row>
    <row r="46" spans="1:19" ht="15" thickBot="1"/>
    <row r="47" spans="1:19" ht="20" thickTop="1">
      <c r="A47" s="14" t="s">
        <v>44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6"/>
    </row>
    <row r="48" spans="1:19" ht="17.5" customHeight="1">
      <c r="A48" s="53" t="s">
        <v>39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5"/>
      <c r="N48" s="3"/>
      <c r="O48" s="3"/>
      <c r="P48" s="3"/>
    </row>
    <row r="49" spans="1:16" ht="124" customHeight="1" thickBot="1">
      <c r="A49" s="56" t="s">
        <v>45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  <c r="N49" s="13"/>
      <c r="O49" s="13"/>
      <c r="P49" s="13"/>
    </row>
    <row r="50" spans="1:16" ht="18.5" thickTop="1" thickBot="1">
      <c r="A50" s="17"/>
      <c r="B50" s="17"/>
      <c r="C50" s="17"/>
      <c r="D50" s="17"/>
      <c r="E50" s="17"/>
      <c r="F50" s="17"/>
    </row>
    <row r="51" spans="1:16" ht="23" thickTop="1" thickBot="1">
      <c r="A51" s="87" t="s">
        <v>40</v>
      </c>
      <c r="B51" s="88"/>
      <c r="C51" s="88"/>
      <c r="D51" s="88"/>
      <c r="E51" s="88"/>
      <c r="F51" s="89"/>
    </row>
    <row r="52" spans="1:16" ht="15" thickTop="1"/>
  </sheetData>
  <sheetProtection algorithmName="SHA-512" hashValue="79pMKh8P4mY8FyJby0/U9k42sxlS3Bqmt6lA4+gmfbwahJzzWB3Lo4ZuBuoqzSKDkoQ7eNO0D0koaRMiIt2T2g==" saltValue="YCp0l87Jm2p9iZLr2SY5BQ==" spinCount="100000" sheet="1"/>
  <mergeCells count="30">
    <mergeCell ref="A51:F51"/>
    <mergeCell ref="B20:C20"/>
    <mergeCell ref="D20:S20"/>
    <mergeCell ref="D21:E21"/>
    <mergeCell ref="P21:Q21"/>
    <mergeCell ref="R21:S21"/>
    <mergeCell ref="F21:G21"/>
    <mergeCell ref="H21:I21"/>
    <mergeCell ref="J21:K21"/>
    <mergeCell ref="L21:M21"/>
    <mergeCell ref="N21:O21"/>
    <mergeCell ref="N38:O38"/>
    <mergeCell ref="R38:S38"/>
    <mergeCell ref="P38:Q38"/>
    <mergeCell ref="D38:E38"/>
    <mergeCell ref="F38:G38"/>
    <mergeCell ref="A48:M48"/>
    <mergeCell ref="A49:M49"/>
    <mergeCell ref="A14:B14"/>
    <mergeCell ref="A8:H9"/>
    <mergeCell ref="E14:H14"/>
    <mergeCell ref="E15:H15"/>
    <mergeCell ref="C17:H17"/>
    <mergeCell ref="A15:B15"/>
    <mergeCell ref="A11:H11"/>
    <mergeCell ref="A12:H12"/>
    <mergeCell ref="A17:B17"/>
    <mergeCell ref="H38:I38"/>
    <mergeCell ref="J38:K38"/>
    <mergeCell ref="L38:M38"/>
  </mergeCells>
  <conditionalFormatting sqref="D38:S38">
    <cfRule type="cellIs" dxfId="0" priority="4" stopIfTrue="1" operator="equal">
      <formula>"RENTA INFERIOR MÍNIMO ANUAL EXIGIDO"</formula>
    </cfRule>
  </conditionalFormatting>
  <dataValidations count="2"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2%" sqref="E39 G39 I39 K39 M39 O39 Q39" xr:uid="{81549916-A346-4066-8231-573050470301}">
      <formula1>IF(G39="",AND(E39&gt;=0.12),AND(E39&gt;=0.12,G39&lt;=(E39+0.02),G39&gt;=E39))</formula1>
    </dataValidation>
    <dataValidation type="custom" operator="greaterThan" showInputMessage="1" showErrorMessage="1" errorTitle="% NO PERMITIDO" error="El usuario sólo puede introducir ciertos valores en esta celda. Ver observaciones (**)._x000a_CANCELAR E INTRODUCIR VALOR CORRECTO." promptTitle="% OFERTADO" prompt="Debe ser igual o superior al 12%" sqref="S39" xr:uid="{2BA8577E-C5DA-4EFF-8617-A8AED1B8B62A}">
      <formula1>IF(#REF!="",AND(S39&gt;=0.12),AND(S39&gt;=0.12,#REF!&lt;=(S39+0.02),#REF!&gt;=S39))</formula1>
    </dataValidation>
  </dataValidations>
  <pageMargins left="0.7" right="0.7" top="0.75" bottom="0.75" header="0.3" footer="0.3"/>
  <pageSetup paperSize="9" scale="3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2A451E5BD49E4E87DB3DA2CDC8BD24" ma:contentTypeVersion="15" ma:contentTypeDescription="Crear nuevo documento." ma:contentTypeScope="" ma:versionID="fa62b040aa7ca0c806286a1a7465a1f6">
  <xsd:schema xmlns:xsd="http://www.w3.org/2001/XMLSchema" xmlns:xs="http://www.w3.org/2001/XMLSchema" xmlns:p="http://schemas.microsoft.com/office/2006/metadata/properties" xmlns:ns2="6cd86a24-d384-44f4-a473-effdf61ce476" xmlns:ns3="b61410dd-85a5-48bf-9406-5c645e174b16" targetNamespace="http://schemas.microsoft.com/office/2006/metadata/properties" ma:root="true" ma:fieldsID="ae9300de074a1150c20808622153639e" ns2:_="" ns3:_="">
    <xsd:import namespace="6cd86a24-d384-44f4-a473-effdf61ce476"/>
    <xsd:import namespace="b61410dd-85a5-48bf-9406-5c645e174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86a24-d384-44f4-a473-effdf61ce4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410dd-85a5-48bf-9406-5c645e174b1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44d2251-fdf0-46e5-8973-42b39507a19b}" ma:internalName="TaxCatchAll" ma:showField="CatchAllData" ma:web="b61410dd-85a5-48bf-9406-5c645e174b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b61410dd-85a5-48bf-9406-5c645e174b16">
      <UserInfo>
        <DisplayName/>
        <AccountId xsi:nil="true"/>
        <AccountType/>
      </UserInfo>
    </SharedWithUsers>
    <lcf76f155ced4ddcb4097134ff3c332f xmlns="6cd86a24-d384-44f4-a473-effdf61ce476">
      <Terms xmlns="http://schemas.microsoft.com/office/infopath/2007/PartnerControls"/>
    </lcf76f155ced4ddcb4097134ff3c332f>
    <TaxCatchAll xmlns="b61410dd-85a5-48bf-9406-5c645e174b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E5DE1B-CDAA-412C-B277-61C6B6AC69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d86a24-d384-44f4-a473-effdf61ce476"/>
    <ds:schemaRef ds:uri="b61410dd-85a5-48bf-9406-5c645e174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BEE6A2-C6C8-432D-81EA-22C59022831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cd86a24-d384-44f4-a473-effdf61ce476"/>
    <ds:schemaRef ds:uri="http://purl.org/dc/elements/1.1/"/>
    <ds:schemaRef ds:uri="b61410dd-85a5-48bf-9406-5c645e174b1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10EE089-CBC2-46AE-B70B-6F439D9DC81E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422dd6b-2cc3-4668-9b0c-7cf80962cf63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Blanco Izquierdo</dc:creator>
  <cp:keywords/>
  <dc:description/>
  <cp:lastModifiedBy>Barbara Menendez Alvarez</cp:lastModifiedBy>
  <cp:revision/>
  <cp:lastPrinted>2025-02-25T08:36:08Z</cp:lastPrinted>
  <dcterms:created xsi:type="dcterms:W3CDTF">2023-05-23T11:54:40Z</dcterms:created>
  <dcterms:modified xsi:type="dcterms:W3CDTF">2025-06-13T10:24:40Z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4112800</vt:r8>
  </property>
  <property fmtid="{D5CDD505-2E9C-101B-9397-08002B2CF9AE}" pid="3" name="ContentTypeId">
    <vt:lpwstr>0x010100CB2A451E5BD49E4E87DB3DA2CDC8BD24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